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5868" windowWidth="11340" windowHeight="3552" activeTab="0"/>
  </bookViews>
  <sheets>
    <sheet name="Sub groups" sheetId="1" r:id="rId1"/>
  </sheets>
  <definedNames>
    <definedName name="_xlnm.Print_Area" localSheetId="0">'Sub groups'!$A$1:$R$37</definedName>
  </definedNames>
  <calcPr fullCalcOnLoad="1"/>
</workbook>
</file>

<file path=xl/sharedStrings.xml><?xml version="1.0" encoding="utf-8"?>
<sst xmlns="http://schemas.openxmlformats.org/spreadsheetml/2006/main" count="174" uniqueCount="47">
  <si>
    <t>Stags</t>
  </si>
  <si>
    <t>Hinds</t>
  </si>
  <si>
    <t>Calves</t>
  </si>
  <si>
    <t>South sub group</t>
  </si>
  <si>
    <t>south</t>
  </si>
  <si>
    <t>stags</t>
  </si>
  <si>
    <t>hinds</t>
  </si>
  <si>
    <t>calves</t>
  </si>
  <si>
    <t>Target Summer Popn</t>
  </si>
  <si>
    <t>Density</t>
  </si>
  <si>
    <t>North west sub group</t>
  </si>
  <si>
    <t>North east sub group</t>
  </si>
  <si>
    <t>2016/17 Proposed Cull</t>
  </si>
  <si>
    <t>2017 Mortality</t>
  </si>
  <si>
    <t>2017 Spring Population</t>
  </si>
  <si>
    <t>2017 Summer Population</t>
  </si>
  <si>
    <t>2017/18 Proposed Cull</t>
  </si>
  <si>
    <t>2018 Mortality</t>
  </si>
  <si>
    <t>2018 Spring Population</t>
  </si>
  <si>
    <t>2018 Summer Population</t>
  </si>
  <si>
    <t>2018/19 Proposed Cull</t>
  </si>
  <si>
    <t>2019 Mortality</t>
  </si>
  <si>
    <t>2019 Spring Population</t>
  </si>
  <si>
    <t>2019 Summer Population</t>
  </si>
  <si>
    <t xml:space="preserve"> </t>
  </si>
  <si>
    <t>north east</t>
  </si>
  <si>
    <t>north west</t>
  </si>
  <si>
    <t>?</t>
  </si>
  <si>
    <t>March 2016 Population</t>
  </si>
  <si>
    <t>2016 summer Population</t>
  </si>
  <si>
    <t>2019/20 Proposed Cull</t>
  </si>
  <si>
    <t>2020 Mortality</t>
  </si>
  <si>
    <t>2020 Spring Population</t>
  </si>
  <si>
    <t>2020 Summer Population</t>
  </si>
  <si>
    <t>2020/21 Proposed Cull</t>
  </si>
  <si>
    <t>2021 Mortality</t>
  </si>
  <si>
    <t>2021 Spring Population</t>
  </si>
  <si>
    <t>2021 Summer Population</t>
  </si>
  <si>
    <t>2021/22 Proposed Cull</t>
  </si>
  <si>
    <t>2022 Mortality</t>
  </si>
  <si>
    <t>2022 Spring Population</t>
  </si>
  <si>
    <t>2022 Summer Population</t>
  </si>
  <si>
    <t>2022/23 Proposed Cull</t>
  </si>
  <si>
    <t>2023 Mortality</t>
  </si>
  <si>
    <t>2023 Spring Population</t>
  </si>
  <si>
    <t>2023 Summer Population</t>
  </si>
  <si>
    <t>Spring Count 2016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</si>
</sst>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b/>
      <i/>
      <sz val="14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0" fillId="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" fontId="0" fillId="0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2" fillId="4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 vertical="center"/>
    </xf>
    <xf numFmtId="1" fontId="0" fillId="5" borderId="1" xfId="0" applyNumberFormat="1" applyFont="1" applyFill="1" applyBorder="1" applyAlignment="1">
      <alignment horizontal="center" vertical="center"/>
    </xf>
    <xf numFmtId="1" fontId="0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43"/>
  <sheetViews>
    <sheetView tabSelected="1" workbookViewId="0" topLeftCell="L1">
      <selection activeCell="N3" sqref="N3:Q3"/>
    </sheetView>
  </sheetViews>
  <sheetFormatPr defaultColWidth="9.140625" defaultRowHeight="12.75"/>
  <cols>
    <col min="1" max="1" width="34.28125" style="0" customWidth="1"/>
    <col min="2" max="5" width="10.7109375" style="0" customWidth="1"/>
    <col min="7" max="7" width="33.7109375" style="0" customWidth="1"/>
    <col min="8" max="10" width="10.7109375" style="0" customWidth="1"/>
    <col min="11" max="11" width="10.7109375" style="23" customWidth="1"/>
    <col min="13" max="13" width="34.00390625" style="0" customWidth="1"/>
    <col min="14" max="16" width="10.7109375" style="0" customWidth="1"/>
    <col min="17" max="17" width="10.7109375" style="23" customWidth="1"/>
    <col min="18" max="18" width="15.7109375" style="0" customWidth="1"/>
    <col min="19" max="19" width="22.7109375" style="0" customWidth="1"/>
    <col min="20" max="22" width="15.7109375" style="0" customWidth="1"/>
  </cols>
  <sheetData>
    <row r="1" spans="1:17" s="2" customFormat="1" ht="17.25">
      <c r="A1" s="35"/>
      <c r="B1" s="36"/>
      <c r="C1" s="36"/>
      <c r="D1" s="36"/>
      <c r="K1" s="23"/>
      <c r="Q1" s="23"/>
    </row>
    <row r="2" spans="1:17" s="2" customFormat="1" ht="17.25">
      <c r="A2" s="1"/>
      <c r="K2" s="23"/>
      <c r="Q2" s="23"/>
    </row>
    <row r="3" spans="1:23" s="2" customFormat="1" ht="47.25" customHeight="1">
      <c r="A3" s="17" t="s">
        <v>10</v>
      </c>
      <c r="B3" s="18"/>
      <c r="C3" s="18"/>
      <c r="D3" s="18"/>
      <c r="E3" s="8"/>
      <c r="G3" s="21" t="s">
        <v>11</v>
      </c>
      <c r="H3" s="22"/>
      <c r="I3" s="22"/>
      <c r="J3" s="22"/>
      <c r="K3" s="25"/>
      <c r="M3" s="21" t="s">
        <v>3</v>
      </c>
      <c r="N3" s="22"/>
      <c r="O3" s="22"/>
      <c r="P3" s="22"/>
      <c r="Q3" s="25"/>
      <c r="R3"/>
      <c r="S3"/>
      <c r="T3"/>
      <c r="U3"/>
      <c r="V3"/>
      <c r="W3" s="23"/>
    </row>
    <row r="4" spans="1:23" ht="19.5" customHeight="1">
      <c r="A4" s="16"/>
      <c r="B4" s="19" t="s">
        <v>0</v>
      </c>
      <c r="C4" s="19" t="s">
        <v>1</v>
      </c>
      <c r="D4" s="19" t="s">
        <v>2</v>
      </c>
      <c r="E4" s="19" t="s">
        <v>9</v>
      </c>
      <c r="G4" s="16"/>
      <c r="H4" s="19" t="s">
        <v>0</v>
      </c>
      <c r="I4" s="19" t="s">
        <v>1</v>
      </c>
      <c r="J4" s="19" t="s">
        <v>2</v>
      </c>
      <c r="K4" s="19" t="s">
        <v>9</v>
      </c>
      <c r="M4" s="16"/>
      <c r="N4" s="19" t="s">
        <v>0</v>
      </c>
      <c r="O4" s="19" t="s">
        <v>1</v>
      </c>
      <c r="P4" s="19" t="s">
        <v>2</v>
      </c>
      <c r="Q4" s="19" t="s">
        <v>9</v>
      </c>
      <c r="W4" s="23"/>
    </row>
    <row r="5" spans="1:23" ht="15" customHeight="1">
      <c r="A5" s="16" t="s">
        <v>28</v>
      </c>
      <c r="B5" s="34">
        <f>B39</f>
        <v>1329</v>
      </c>
      <c r="C5" s="34">
        <f>B40</f>
        <v>1778</v>
      </c>
      <c r="D5" s="34">
        <f>B41</f>
        <v>627</v>
      </c>
      <c r="E5" s="20">
        <f>SUM(B5:D5)/694</f>
        <v>5.380403458213256</v>
      </c>
      <c r="G5" s="16" t="s">
        <v>28</v>
      </c>
      <c r="H5" s="34">
        <f>C39</f>
        <v>581</v>
      </c>
      <c r="I5" s="34">
        <f>C40</f>
        <v>1172</v>
      </c>
      <c r="J5" s="34">
        <f>C41</f>
        <v>373</v>
      </c>
      <c r="K5" s="27">
        <f>SUM(H5:J5)/629</f>
        <v>3.379968203497615</v>
      </c>
      <c r="M5" s="16" t="s">
        <v>28</v>
      </c>
      <c r="N5" s="34">
        <f>D39</f>
        <v>430</v>
      </c>
      <c r="O5" s="34">
        <f>D40</f>
        <v>624</v>
      </c>
      <c r="P5" s="34">
        <f>D41</f>
        <v>224</v>
      </c>
      <c r="Q5" s="26">
        <f>SUM(N5:P5)/315</f>
        <v>4.057142857142857</v>
      </c>
      <c r="W5" s="23"/>
    </row>
    <row r="6" spans="1:23" s="3" customFormat="1" ht="15" customHeight="1">
      <c r="A6" s="16" t="s">
        <v>29</v>
      </c>
      <c r="B6" s="30">
        <f>B39+(B41/2)</f>
        <v>1642.5</v>
      </c>
      <c r="C6" s="30">
        <f>B40+(B41/2)</f>
        <v>2091.5</v>
      </c>
      <c r="D6" s="30">
        <f>C6*0.36</f>
        <v>752.9399999999999</v>
      </c>
      <c r="E6" s="20">
        <f aca="true" t="shared" si="0" ref="E6:E34">SUM(B6:D6)/694</f>
        <v>6.465331412103746</v>
      </c>
      <c r="G6" s="16" t="s">
        <v>29</v>
      </c>
      <c r="H6" s="30">
        <f>C39+(C41/2)</f>
        <v>767.5</v>
      </c>
      <c r="I6" s="30">
        <f>C40+(C41/2)</f>
        <v>1358.5</v>
      </c>
      <c r="J6" s="30">
        <f>I6*0.31</f>
        <v>421.135</v>
      </c>
      <c r="K6" s="27">
        <f aca="true" t="shared" si="1" ref="K6:K34">SUM(H6:J6)/629</f>
        <v>4.04949920508744</v>
      </c>
      <c r="M6" s="16" t="s">
        <v>29</v>
      </c>
      <c r="N6" s="30">
        <f>D39+(D41/2)</f>
        <v>542</v>
      </c>
      <c r="O6" s="30">
        <f>D40+(D41/2)</f>
        <v>736</v>
      </c>
      <c r="P6" s="30">
        <f>O6*0.3</f>
        <v>220.79999999999998</v>
      </c>
      <c r="Q6" s="26">
        <f>SUM(N6:P6)/315</f>
        <v>4.758095238095238</v>
      </c>
      <c r="R6"/>
      <c r="S6"/>
      <c r="T6"/>
      <c r="U6"/>
      <c r="V6"/>
      <c r="W6" s="24"/>
    </row>
    <row r="7" spans="1:23" s="3" customFormat="1" ht="15" customHeight="1">
      <c r="A7" s="16" t="s">
        <v>12</v>
      </c>
      <c r="B7" s="29">
        <v>322</v>
      </c>
      <c r="C7" s="29">
        <v>550</v>
      </c>
      <c r="D7" s="29">
        <v>208</v>
      </c>
      <c r="E7" s="20" t="s">
        <v>24</v>
      </c>
      <c r="F7" s="9"/>
      <c r="G7" s="16" t="s">
        <v>12</v>
      </c>
      <c r="H7" s="29">
        <v>223</v>
      </c>
      <c r="I7" s="29">
        <v>372</v>
      </c>
      <c r="J7" s="29">
        <v>122</v>
      </c>
      <c r="K7" s="27" t="s">
        <v>24</v>
      </c>
      <c r="M7" s="16" t="s">
        <v>12</v>
      </c>
      <c r="N7" s="29">
        <v>115</v>
      </c>
      <c r="O7" s="29">
        <v>75</v>
      </c>
      <c r="P7" s="29">
        <v>25</v>
      </c>
      <c r="Q7" s="26" t="s">
        <v>24</v>
      </c>
      <c r="R7"/>
      <c r="S7"/>
      <c r="T7"/>
      <c r="U7"/>
      <c r="V7"/>
      <c r="W7" s="24"/>
    </row>
    <row r="8" spans="1:23" s="4" customFormat="1" ht="15" customHeight="1">
      <c r="A8" s="16" t="s">
        <v>13</v>
      </c>
      <c r="B8" s="15">
        <f>B6*0.02</f>
        <v>32.85</v>
      </c>
      <c r="C8" s="15">
        <f>C6*0.02</f>
        <v>41.83</v>
      </c>
      <c r="D8" s="15">
        <f>D6*0.06</f>
        <v>45.176399999999994</v>
      </c>
      <c r="E8" s="20" t="s">
        <v>24</v>
      </c>
      <c r="F8" s="10"/>
      <c r="G8" s="16" t="s">
        <v>13</v>
      </c>
      <c r="H8" s="15">
        <f>H6*0.02</f>
        <v>15.35</v>
      </c>
      <c r="I8" s="15">
        <f>I6*0.02</f>
        <v>27.17</v>
      </c>
      <c r="J8" s="15">
        <f>J6*0.06</f>
        <v>25.268099999999997</v>
      </c>
      <c r="K8" s="27" t="s">
        <v>24</v>
      </c>
      <c r="M8" s="16" t="s">
        <v>13</v>
      </c>
      <c r="N8" s="15">
        <f>N6*0.02</f>
        <v>10.84</v>
      </c>
      <c r="O8" s="15">
        <f>O6*0.02</f>
        <v>14.72</v>
      </c>
      <c r="P8" s="15">
        <f>P6*0.06</f>
        <v>13.248</v>
      </c>
      <c r="Q8" s="26" t="s">
        <v>24</v>
      </c>
      <c r="R8"/>
      <c r="S8"/>
      <c r="T8"/>
      <c r="U8"/>
      <c r="V8"/>
      <c r="W8" s="28"/>
    </row>
    <row r="9" spans="1:23" s="3" customFormat="1" ht="15" customHeight="1">
      <c r="A9" s="16" t="s">
        <v>14</v>
      </c>
      <c r="B9" s="15">
        <f>B6-(B7+B8)</f>
        <v>1287.65</v>
      </c>
      <c r="C9" s="15">
        <f>C6-(C7+C8)</f>
        <v>1499.67</v>
      </c>
      <c r="D9" s="15">
        <f>D6-(D7+D8)</f>
        <v>499.76359999999994</v>
      </c>
      <c r="E9" s="20">
        <f t="shared" si="0"/>
        <v>4.736431700288184</v>
      </c>
      <c r="F9" s="9"/>
      <c r="G9" s="16" t="s">
        <v>14</v>
      </c>
      <c r="H9" s="15">
        <f>H6-(H7+H8)</f>
        <v>529.15</v>
      </c>
      <c r="I9" s="15">
        <f>I6-(I7+I8)</f>
        <v>959.3299999999999</v>
      </c>
      <c r="J9" s="15">
        <f>J6-(J7+J8)</f>
        <v>273.8669</v>
      </c>
      <c r="K9" s="27">
        <f t="shared" si="1"/>
        <v>2.801823370429253</v>
      </c>
      <c r="M9" s="16" t="s">
        <v>14</v>
      </c>
      <c r="N9" s="15">
        <f>N6-(N7+N8)</f>
        <v>416.15999999999997</v>
      </c>
      <c r="O9" s="15">
        <f>O6-(O7+O8)</f>
        <v>646.28</v>
      </c>
      <c r="P9" s="15">
        <f>P6-(P7+P8)</f>
        <v>182.552</v>
      </c>
      <c r="Q9" s="26">
        <f>SUM(N9:P9)/315</f>
        <v>3.9523555555555556</v>
      </c>
      <c r="R9"/>
      <c r="S9"/>
      <c r="T9"/>
      <c r="U9"/>
      <c r="V9"/>
      <c r="W9" s="24"/>
    </row>
    <row r="10" spans="1:23" s="3" customFormat="1" ht="15" customHeight="1">
      <c r="A10" s="16" t="s">
        <v>15</v>
      </c>
      <c r="B10" s="15">
        <f>B9+(0.5*D9)</f>
        <v>1537.5318</v>
      </c>
      <c r="C10" s="15">
        <f>C9+(0.5*D9)</f>
        <v>1749.5518</v>
      </c>
      <c r="D10" s="15">
        <f>C10*0.36</f>
        <v>629.8386479999999</v>
      </c>
      <c r="E10" s="20">
        <f t="shared" si="0"/>
        <v>5.64398018443804</v>
      </c>
      <c r="G10" s="16" t="s">
        <v>15</v>
      </c>
      <c r="H10" s="15">
        <f>H9+(0.5*J9)</f>
        <v>666.08345</v>
      </c>
      <c r="I10" s="15">
        <f>I9+(0.5*J9)</f>
        <v>1096.26345</v>
      </c>
      <c r="J10" s="15">
        <f>I10*0.31</f>
        <v>339.84166949999997</v>
      </c>
      <c r="K10" s="27">
        <f t="shared" si="1"/>
        <v>3.3421121931637523</v>
      </c>
      <c r="M10" s="16" t="s">
        <v>15</v>
      </c>
      <c r="N10" s="15">
        <f>N9+(0.5*P9)</f>
        <v>507.436</v>
      </c>
      <c r="O10" s="15">
        <f>O9+(0.5*P9)</f>
        <v>737.5559999999999</v>
      </c>
      <c r="P10" s="15">
        <f>O10*0.35</f>
        <v>258.14459999999997</v>
      </c>
      <c r="Q10" s="26">
        <f>SUM(N10:P10)/315</f>
        <v>4.771862222222222</v>
      </c>
      <c r="R10"/>
      <c r="S10"/>
      <c r="T10"/>
      <c r="U10"/>
      <c r="V10"/>
      <c r="W10" s="24"/>
    </row>
    <row r="11" spans="1:23" s="3" customFormat="1" ht="15" customHeight="1">
      <c r="A11" s="16" t="s">
        <v>16</v>
      </c>
      <c r="B11" s="29">
        <v>178</v>
      </c>
      <c r="C11" s="29">
        <v>250</v>
      </c>
      <c r="D11" s="29">
        <v>85</v>
      </c>
      <c r="E11" s="20" t="s">
        <v>24</v>
      </c>
      <c r="G11" s="16" t="s">
        <v>16</v>
      </c>
      <c r="H11" s="29">
        <v>89</v>
      </c>
      <c r="I11" s="29">
        <v>50</v>
      </c>
      <c r="J11" s="29">
        <v>18</v>
      </c>
      <c r="K11" s="27" t="s">
        <v>24</v>
      </c>
      <c r="M11" s="16" t="s">
        <v>16</v>
      </c>
      <c r="N11" s="29">
        <v>75</v>
      </c>
      <c r="O11" s="29">
        <v>75</v>
      </c>
      <c r="P11" s="29">
        <v>25</v>
      </c>
      <c r="Q11" s="26" t="s">
        <v>24</v>
      </c>
      <c r="R11"/>
      <c r="S11"/>
      <c r="T11"/>
      <c r="U11"/>
      <c r="V11"/>
      <c r="W11" s="24"/>
    </row>
    <row r="12" spans="1:23" s="3" customFormat="1" ht="15" customHeight="1">
      <c r="A12" s="16" t="s">
        <v>17</v>
      </c>
      <c r="B12" s="15">
        <f>B10*0.02</f>
        <v>30.750636</v>
      </c>
      <c r="C12" s="15">
        <f>C10*0.02</f>
        <v>34.991036</v>
      </c>
      <c r="D12" s="15">
        <f>D10*0.06</f>
        <v>37.790318879999994</v>
      </c>
      <c r="E12" s="20" t="s">
        <v>24</v>
      </c>
      <c r="G12" s="16" t="s">
        <v>17</v>
      </c>
      <c r="H12" s="5">
        <f>H10*0.02</f>
        <v>13.321669</v>
      </c>
      <c r="I12" s="5">
        <f>I10*0.02</f>
        <v>21.925269</v>
      </c>
      <c r="J12" s="5">
        <f>J10*0.06</f>
        <v>20.390500169999996</v>
      </c>
      <c r="K12" s="27" t="s">
        <v>24</v>
      </c>
      <c r="M12" s="16" t="s">
        <v>17</v>
      </c>
      <c r="N12" s="15">
        <f>N10*0.02</f>
        <v>10.148719999999999</v>
      </c>
      <c r="O12" s="15">
        <f>O10*0.02</f>
        <v>14.751119999999998</v>
      </c>
      <c r="P12" s="15">
        <f>P10*0.06</f>
        <v>15.488675999999998</v>
      </c>
      <c r="Q12" s="26" t="s">
        <v>24</v>
      </c>
      <c r="R12"/>
      <c r="S12"/>
      <c r="T12"/>
      <c r="U12"/>
      <c r="V12"/>
      <c r="W12" s="24"/>
    </row>
    <row r="13" spans="1:23" s="3" customFormat="1" ht="15" customHeight="1">
      <c r="A13" s="16" t="s">
        <v>18</v>
      </c>
      <c r="B13" s="15">
        <f>B10-(B11+B12)</f>
        <v>1328.781164</v>
      </c>
      <c r="C13" s="15">
        <f>C10-(C11+C12)</f>
        <v>1464.5607639999998</v>
      </c>
      <c r="D13" s="15">
        <f>D10-(D11+D12)</f>
        <v>507.04832911999995</v>
      </c>
      <c r="E13" s="20">
        <f t="shared" si="0"/>
        <v>4.7556055578097975</v>
      </c>
      <c r="G13" s="16" t="s">
        <v>18</v>
      </c>
      <c r="H13" s="5">
        <f>H10-(H11+H12)</f>
        <v>563.7617809999999</v>
      </c>
      <c r="I13" s="5">
        <f>I10-(I11+I12)</f>
        <v>1024.3381809999998</v>
      </c>
      <c r="J13" s="5">
        <f>J10-(J11+J12)</f>
        <v>301.45116932999997</v>
      </c>
      <c r="K13" s="27">
        <f t="shared" si="1"/>
        <v>3.004055852670906</v>
      </c>
      <c r="M13" s="16" t="s">
        <v>18</v>
      </c>
      <c r="N13" s="15">
        <f>N10-(N11+N12)</f>
        <v>422.28728</v>
      </c>
      <c r="O13" s="15">
        <f>O10-(O11+O12)</f>
        <v>647.8048799999999</v>
      </c>
      <c r="P13" s="15">
        <f>P10-(P11+P12)</f>
        <v>217.65592399999997</v>
      </c>
      <c r="Q13" s="26">
        <f>SUM(N13:P13)/315</f>
        <v>4.088089155555555</v>
      </c>
      <c r="R13"/>
      <c r="S13"/>
      <c r="T13"/>
      <c r="U13"/>
      <c r="V13"/>
      <c r="W13" s="24"/>
    </row>
    <row r="14" spans="1:23" s="3" customFormat="1" ht="15" customHeight="1">
      <c r="A14" s="16" t="s">
        <v>19</v>
      </c>
      <c r="B14" s="15">
        <f>B13+(0.5*D13)</f>
        <v>1582.30532856</v>
      </c>
      <c r="C14" s="15">
        <f>C13+(0.5*D13)</f>
        <v>1718.0849285599998</v>
      </c>
      <c r="D14" s="15">
        <f>C14*0.36</f>
        <v>618.5105742815999</v>
      </c>
      <c r="E14" s="20">
        <f t="shared" si="0"/>
        <v>5.64683116916657</v>
      </c>
      <c r="G14" s="16" t="s">
        <v>19</v>
      </c>
      <c r="H14" s="15">
        <f>H13+(0.5*J13)</f>
        <v>714.487365665</v>
      </c>
      <c r="I14" s="15">
        <f>I13+(0.5*J13)</f>
        <v>1175.063765665</v>
      </c>
      <c r="J14" s="15">
        <f>I14*0.31</f>
        <v>364.26976735614994</v>
      </c>
      <c r="K14" s="27">
        <f t="shared" si="1"/>
        <v>3.5831810789922893</v>
      </c>
      <c r="M14" s="16" t="s">
        <v>19</v>
      </c>
      <c r="N14" s="15">
        <f>N13+(0.5*P13)</f>
        <v>531.115242</v>
      </c>
      <c r="O14" s="15">
        <f>O13+(0.5*P13)</f>
        <v>756.6328419999999</v>
      </c>
      <c r="P14" s="15">
        <f>O14*0.3</f>
        <v>226.98985259999995</v>
      </c>
      <c r="Q14" s="26">
        <f>SUM(N14:P14)/315</f>
        <v>4.808691862222221</v>
      </c>
      <c r="R14"/>
      <c r="S14"/>
      <c r="T14"/>
      <c r="U14"/>
      <c r="V14"/>
      <c r="W14" s="24"/>
    </row>
    <row r="15" spans="1:23" s="3" customFormat="1" ht="15" customHeight="1">
      <c r="A15" s="16" t="s">
        <v>20</v>
      </c>
      <c r="B15" s="29">
        <v>178</v>
      </c>
      <c r="C15" s="29">
        <v>200</v>
      </c>
      <c r="D15" s="29">
        <v>67</v>
      </c>
      <c r="E15" s="20" t="s">
        <v>24</v>
      </c>
      <c r="G15" s="16" t="s">
        <v>20</v>
      </c>
      <c r="H15" s="29">
        <v>89</v>
      </c>
      <c r="I15" s="29">
        <v>100</v>
      </c>
      <c r="J15" s="29">
        <v>33</v>
      </c>
      <c r="K15" s="27" t="s">
        <v>24</v>
      </c>
      <c r="M15" s="16" t="s">
        <v>20</v>
      </c>
      <c r="N15" s="29">
        <v>75</v>
      </c>
      <c r="O15" s="29">
        <v>75</v>
      </c>
      <c r="P15" s="29">
        <v>25</v>
      </c>
      <c r="Q15" s="26" t="s">
        <v>24</v>
      </c>
      <c r="R15"/>
      <c r="S15"/>
      <c r="T15"/>
      <c r="U15"/>
      <c r="V15"/>
      <c r="W15" s="24"/>
    </row>
    <row r="16" spans="1:23" s="3" customFormat="1" ht="15" customHeight="1">
      <c r="A16" s="16" t="s">
        <v>21</v>
      </c>
      <c r="B16" s="5">
        <f>B14*0.05</f>
        <v>79.115266428</v>
      </c>
      <c r="C16" s="5">
        <f>C14*0.05</f>
        <v>85.904246428</v>
      </c>
      <c r="D16" s="5">
        <f>D14*0.06</f>
        <v>37.110634456895994</v>
      </c>
      <c r="E16" s="20" t="s">
        <v>24</v>
      </c>
      <c r="G16" s="16" t="s">
        <v>21</v>
      </c>
      <c r="H16" s="5">
        <f>H14*0.05</f>
        <v>35.72436828325</v>
      </c>
      <c r="I16" s="5">
        <f>I14*0.05</f>
        <v>58.75318828325</v>
      </c>
      <c r="J16" s="5">
        <f>J14*0.1</f>
        <v>36.42697673561499</v>
      </c>
      <c r="K16" s="27" t="s">
        <v>24</v>
      </c>
      <c r="M16" s="16" t="s">
        <v>21</v>
      </c>
      <c r="N16" s="5">
        <f>N14*0.02</f>
        <v>10.62230484</v>
      </c>
      <c r="O16" s="5">
        <f>O14*0.02</f>
        <v>15.132656839999997</v>
      </c>
      <c r="P16" s="5">
        <f>P14*0.06</f>
        <v>13.619391155999997</v>
      </c>
      <c r="Q16" s="26" t="s">
        <v>24</v>
      </c>
      <c r="R16"/>
      <c r="S16"/>
      <c r="T16"/>
      <c r="U16"/>
      <c r="V16"/>
      <c r="W16" s="24"/>
    </row>
    <row r="17" spans="1:23" s="3" customFormat="1" ht="15" customHeight="1">
      <c r="A17" s="16" t="s">
        <v>22</v>
      </c>
      <c r="B17" s="15">
        <f>B14-(B15+B16)</f>
        <v>1325.1900621319999</v>
      </c>
      <c r="C17" s="15">
        <f>C14-(C15+C16)</f>
        <v>1432.1806821319997</v>
      </c>
      <c r="D17" s="15">
        <f>(C17*0.22)</f>
        <v>315.0797500690399</v>
      </c>
      <c r="E17" s="20">
        <f t="shared" si="0"/>
        <v>4.427162095580749</v>
      </c>
      <c r="G17" s="16" t="s">
        <v>22</v>
      </c>
      <c r="H17" s="15">
        <f>H14-(H15+H16)</f>
        <v>589.76299738175</v>
      </c>
      <c r="I17" s="15">
        <f>I14-(I15+I16)</f>
        <v>1016.3105773817499</v>
      </c>
      <c r="J17" s="15">
        <f>(I17*0.22)</f>
        <v>223.588327023985</v>
      </c>
      <c r="K17" s="27">
        <f t="shared" si="1"/>
        <v>2.9088424511724718</v>
      </c>
      <c r="M17" s="16" t="s">
        <v>22</v>
      </c>
      <c r="N17" s="15">
        <f>N14-(N15+N16)</f>
        <v>445.49293716</v>
      </c>
      <c r="O17" s="15">
        <f>O14-(O15+O16)</f>
        <v>666.5001851599999</v>
      </c>
      <c r="P17" s="15">
        <f>(O17*0.22)</f>
        <v>146.63004073519997</v>
      </c>
      <c r="Q17" s="26">
        <f>SUM(N17:P17)/315</f>
        <v>3.995629089064127</v>
      </c>
      <c r="R17" s="24"/>
      <c r="S17" s="24"/>
      <c r="T17" s="24"/>
      <c r="U17" s="24"/>
      <c r="V17" s="24"/>
      <c r="W17" s="24"/>
    </row>
    <row r="18" spans="1:17" s="3" customFormat="1" ht="15" customHeight="1">
      <c r="A18" s="16" t="s">
        <v>23</v>
      </c>
      <c r="B18" s="5">
        <f>B17+(0.5*D17)</f>
        <v>1482.72993716652</v>
      </c>
      <c r="C18" s="5">
        <f>C17+(0.5*D17)</f>
        <v>1589.7205571665197</v>
      </c>
      <c r="D18" s="5">
        <f>C18*0.36</f>
        <v>572.299400579947</v>
      </c>
      <c r="E18" s="20">
        <f t="shared" si="0"/>
        <v>5.251801001315542</v>
      </c>
      <c r="G18" s="16" t="s">
        <v>23</v>
      </c>
      <c r="H18" s="15">
        <f>H17+(0.5*J17)</f>
        <v>701.5571608937424</v>
      </c>
      <c r="I18" s="15">
        <f>I17+(0.5*J17)</f>
        <v>1128.1047408937425</v>
      </c>
      <c r="J18" s="15">
        <f>I18*0.31</f>
        <v>349.71246967706014</v>
      </c>
      <c r="K18" s="27">
        <f t="shared" si="1"/>
        <v>3.4648241199754297</v>
      </c>
      <c r="M18" s="16" t="s">
        <v>23</v>
      </c>
      <c r="N18" s="5">
        <f>N17+(0.5*P17)</f>
        <v>518.8079575276</v>
      </c>
      <c r="O18" s="5">
        <f>O17+(0.5*P17)</f>
        <v>739.8152055275999</v>
      </c>
      <c r="P18" s="5">
        <f>O18*0.3</f>
        <v>221.94456165827998</v>
      </c>
      <c r="Q18" s="26">
        <f>SUM(N18:P18)/315</f>
        <v>4.700214999090413</v>
      </c>
    </row>
    <row r="19" spans="1:17" s="3" customFormat="1" ht="15" customHeight="1">
      <c r="A19" s="16" t="s">
        <v>30</v>
      </c>
      <c r="B19" s="29">
        <v>178</v>
      </c>
      <c r="C19" s="29">
        <v>200</v>
      </c>
      <c r="D19" s="29">
        <v>67</v>
      </c>
      <c r="E19" s="20" t="s">
        <v>24</v>
      </c>
      <c r="G19" s="16" t="s">
        <v>30</v>
      </c>
      <c r="H19" s="29">
        <v>89</v>
      </c>
      <c r="I19" s="29">
        <v>100</v>
      </c>
      <c r="J19" s="29">
        <v>33</v>
      </c>
      <c r="K19" s="27" t="s">
        <v>24</v>
      </c>
      <c r="M19" s="16" t="s">
        <v>30</v>
      </c>
      <c r="N19" s="29">
        <v>75</v>
      </c>
      <c r="O19" s="29">
        <v>75</v>
      </c>
      <c r="P19" s="29">
        <v>25</v>
      </c>
      <c r="Q19" s="26" t="s">
        <v>24</v>
      </c>
    </row>
    <row r="20" spans="1:17" s="3" customFormat="1" ht="15" customHeight="1">
      <c r="A20" s="16" t="s">
        <v>31</v>
      </c>
      <c r="B20" s="5">
        <f>B18*0.02</f>
        <v>29.6545987433304</v>
      </c>
      <c r="C20" s="5">
        <f>C18*0.02</f>
        <v>31.794411143330397</v>
      </c>
      <c r="D20" s="5">
        <f>D18*0.06</f>
        <v>34.33796403479682</v>
      </c>
      <c r="E20" s="20" t="s">
        <v>24</v>
      </c>
      <c r="F20" s="11"/>
      <c r="G20" s="16" t="s">
        <v>31</v>
      </c>
      <c r="H20" s="5">
        <f>H18*0.02</f>
        <v>14.031143217874849</v>
      </c>
      <c r="I20" s="5">
        <f>I18*0.02</f>
        <v>22.56209481787485</v>
      </c>
      <c r="J20" s="5">
        <f>J18*0.06</f>
        <v>20.98274818062361</v>
      </c>
      <c r="K20" s="27" t="s">
        <v>24</v>
      </c>
      <c r="M20" s="16" t="s">
        <v>31</v>
      </c>
      <c r="N20" s="5">
        <f>N18*0.02</f>
        <v>10.376159150552</v>
      </c>
      <c r="O20" s="5">
        <f>O18*0.02</f>
        <v>14.796304110551999</v>
      </c>
      <c r="P20" s="5">
        <f>P18*0.06</f>
        <v>13.316673699496798</v>
      </c>
      <c r="Q20" s="26" t="s">
        <v>24</v>
      </c>
    </row>
    <row r="21" spans="1:17" s="3" customFormat="1" ht="15" customHeight="1">
      <c r="A21" s="16" t="s">
        <v>32</v>
      </c>
      <c r="B21" s="5">
        <f>B18-(B19+B20)</f>
        <v>1275.0753384231896</v>
      </c>
      <c r="C21" s="5">
        <f>C18-(C19+C20)</f>
        <v>1357.9261460231894</v>
      </c>
      <c r="D21" s="5">
        <f>D18-(D19+D20)</f>
        <v>470.9614365451502</v>
      </c>
      <c r="E21" s="20">
        <f t="shared" si="0"/>
        <v>4.472569050420071</v>
      </c>
      <c r="F21" s="11"/>
      <c r="G21" s="16" t="s">
        <v>32</v>
      </c>
      <c r="H21" s="5">
        <f>H18-(H19+H20)</f>
        <v>598.5260176758676</v>
      </c>
      <c r="I21" s="5">
        <f>I18-(I19+I20)</f>
        <v>1005.5426460758677</v>
      </c>
      <c r="J21" s="5">
        <f>J18-(J19+J20)</f>
        <v>295.7297214964365</v>
      </c>
      <c r="K21" s="27">
        <f t="shared" si="1"/>
        <v>3.020347194353214</v>
      </c>
      <c r="M21" s="16" t="s">
        <v>32</v>
      </c>
      <c r="N21" s="5">
        <f>N18-(N19+N20)</f>
        <v>433.43179837704804</v>
      </c>
      <c r="O21" s="5">
        <f>O18-(O19+O20)</f>
        <v>650.0189014170479</v>
      </c>
      <c r="P21" s="5">
        <f>P18-(P19+P20)</f>
        <v>183.6278879587832</v>
      </c>
      <c r="Q21" s="26">
        <f>SUM(N21:P21)/315</f>
        <v>4.022471707151998</v>
      </c>
    </row>
    <row r="22" spans="1:17" s="3" customFormat="1" ht="15" customHeight="1">
      <c r="A22" s="16" t="s">
        <v>33</v>
      </c>
      <c r="B22" s="5">
        <f>B21+(0.5*D21)</f>
        <v>1510.5560566957647</v>
      </c>
      <c r="C22" s="5">
        <f>C21+(0.5*D21)</f>
        <v>1593.4068642957645</v>
      </c>
      <c r="D22" s="5">
        <f>C22*0.36</f>
        <v>573.6264711464752</v>
      </c>
      <c r="E22" s="20">
        <f t="shared" si="0"/>
        <v>5.299120161582139</v>
      </c>
      <c r="F22" s="11"/>
      <c r="G22" s="16" t="s">
        <v>33</v>
      </c>
      <c r="H22" s="5">
        <f>H21+(0.5*J21)</f>
        <v>746.3908784240858</v>
      </c>
      <c r="I22" s="5">
        <f>I21+(0.5*J21)</f>
        <v>1153.4075068240859</v>
      </c>
      <c r="J22" s="5">
        <f>I22*0.31</f>
        <v>357.5563271154666</v>
      </c>
      <c r="K22" s="27">
        <f t="shared" si="1"/>
        <v>3.588799224743463</v>
      </c>
      <c r="M22" s="16" t="s">
        <v>33</v>
      </c>
      <c r="N22" s="5">
        <f>N21+(0.5*P21)</f>
        <v>525.2457423564397</v>
      </c>
      <c r="O22" s="5">
        <f>O21+(0.5*P21)</f>
        <v>741.8328453964396</v>
      </c>
      <c r="P22" s="5">
        <f>O22*0.3</f>
        <v>222.54985361893185</v>
      </c>
      <c r="Q22" s="26">
        <f>SUM(N22:P22)/315</f>
        <v>4.72897917895813</v>
      </c>
    </row>
    <row r="23" spans="1:17" s="3" customFormat="1" ht="15" customHeight="1">
      <c r="A23" s="16" t="s">
        <v>34</v>
      </c>
      <c r="B23" s="29">
        <v>178</v>
      </c>
      <c r="C23" s="29">
        <v>200</v>
      </c>
      <c r="D23" s="29">
        <v>67</v>
      </c>
      <c r="E23" s="20" t="s">
        <v>24</v>
      </c>
      <c r="F23" s="11"/>
      <c r="G23" s="16" t="s">
        <v>34</v>
      </c>
      <c r="H23" s="29">
        <v>89</v>
      </c>
      <c r="I23" s="29">
        <v>100</v>
      </c>
      <c r="J23" s="29">
        <v>33</v>
      </c>
      <c r="K23" s="27" t="s">
        <v>24</v>
      </c>
      <c r="M23" s="16" t="s">
        <v>34</v>
      </c>
      <c r="N23" s="29">
        <v>75</v>
      </c>
      <c r="O23" s="29">
        <v>75</v>
      </c>
      <c r="P23" s="29">
        <v>25</v>
      </c>
      <c r="Q23" s="26" t="s">
        <v>24</v>
      </c>
    </row>
    <row r="24" spans="1:19" s="3" customFormat="1" ht="15" customHeight="1">
      <c r="A24" s="16" t="s">
        <v>35</v>
      </c>
      <c r="B24" s="5">
        <f>B22*0.02</f>
        <v>30.211121133915295</v>
      </c>
      <c r="C24" s="5">
        <f>C22*0.02</f>
        <v>31.868137285915292</v>
      </c>
      <c r="D24" s="5">
        <f>D22*0.06</f>
        <v>34.417588268788506</v>
      </c>
      <c r="E24" s="20" t="s">
        <v>24</v>
      </c>
      <c r="F24" s="11"/>
      <c r="G24" s="16" t="s">
        <v>35</v>
      </c>
      <c r="H24" s="5">
        <f>H22*0.02</f>
        <v>14.927817568481716</v>
      </c>
      <c r="I24" s="5">
        <f>I22*0.02</f>
        <v>23.06815013648172</v>
      </c>
      <c r="J24" s="5">
        <f>J22*0.06</f>
        <v>21.453379626927997</v>
      </c>
      <c r="K24" s="27" t="s">
        <v>24</v>
      </c>
      <c r="M24" s="16" t="s">
        <v>35</v>
      </c>
      <c r="N24" s="5">
        <f>N22*0.02</f>
        <v>10.504914847128793</v>
      </c>
      <c r="O24" s="5">
        <f>O22*0.02</f>
        <v>14.836656907928791</v>
      </c>
      <c r="P24" s="5">
        <f>P22*0.06</f>
        <v>13.35299121713591</v>
      </c>
      <c r="Q24" s="26" t="s">
        <v>24</v>
      </c>
      <c r="S24" s="3" t="s">
        <v>24</v>
      </c>
    </row>
    <row r="25" spans="1:17" s="3" customFormat="1" ht="15" customHeight="1">
      <c r="A25" s="16" t="s">
        <v>36</v>
      </c>
      <c r="B25" s="5">
        <f>B22-(B23+B24)</f>
        <v>1302.3449355618495</v>
      </c>
      <c r="C25" s="5">
        <f>C22-(C23+C24)</f>
        <v>1361.5387270098493</v>
      </c>
      <c r="D25" s="5">
        <f>D22-(D23+D24)</f>
        <v>472.2088828776867</v>
      </c>
      <c r="E25" s="20">
        <f t="shared" si="0"/>
        <v>4.518865339264244</v>
      </c>
      <c r="F25" s="11"/>
      <c r="G25" s="16" t="s">
        <v>36</v>
      </c>
      <c r="H25" s="5">
        <f>H22-(H23+H24)</f>
        <v>642.4630608556041</v>
      </c>
      <c r="I25" s="5">
        <f>I22-(I23+I24)</f>
        <v>1030.339356687604</v>
      </c>
      <c r="J25" s="5">
        <f>J22-(J23+J24)</f>
        <v>303.10294748853863</v>
      </c>
      <c r="K25" s="27">
        <f t="shared" si="1"/>
        <v>3.141343982562396</v>
      </c>
      <c r="M25" s="16" t="s">
        <v>36</v>
      </c>
      <c r="N25" s="5">
        <f>N22-(N23+N24)</f>
        <v>439.74082750931086</v>
      </c>
      <c r="O25" s="5">
        <f>O22-(O23+O24)</f>
        <v>651.9961884885108</v>
      </c>
      <c r="P25" s="5">
        <f>P22-(P23+P24)</f>
        <v>184.19686240179595</v>
      </c>
      <c r="Q25" s="26">
        <f>SUM(N25:P25)/315</f>
        <v>4.050583740951168</v>
      </c>
    </row>
    <row r="26" spans="1:17" s="3" customFormat="1" ht="15" customHeight="1">
      <c r="A26" s="16" t="s">
        <v>37</v>
      </c>
      <c r="B26" s="5">
        <f>B25+(0.5*D25)</f>
        <v>1538.449377000693</v>
      </c>
      <c r="C26" s="5">
        <f>C25+(0.5*D25)</f>
        <v>1597.6431684486927</v>
      </c>
      <c r="D26" s="5">
        <f>C26*0.36</f>
        <v>575.1515406415293</v>
      </c>
      <c r="E26" s="20">
        <f t="shared" si="0"/>
        <v>5.347613956903335</v>
      </c>
      <c r="F26" s="11"/>
      <c r="G26" s="16" t="s">
        <v>37</v>
      </c>
      <c r="H26" s="5">
        <f>H25+(0.5*J25)</f>
        <v>794.0145345998734</v>
      </c>
      <c r="I26" s="5">
        <f>I25+(0.5*J25)</f>
        <v>1181.8908304318734</v>
      </c>
      <c r="J26" s="5">
        <f>I26*0.31</f>
        <v>366.3861574338807</v>
      </c>
      <c r="K26" s="27">
        <f t="shared" si="1"/>
        <v>3.723833898991459</v>
      </c>
      <c r="M26" s="16" t="s">
        <v>37</v>
      </c>
      <c r="N26" s="5">
        <f>N25+(0.5*P25)</f>
        <v>531.8392587102088</v>
      </c>
      <c r="O26" s="5">
        <f>O25+(0.5*P25)</f>
        <v>744.0946196894088</v>
      </c>
      <c r="P26" s="5">
        <f>O26*0.3</f>
        <v>223.22838590682264</v>
      </c>
      <c r="Q26" s="26">
        <f>SUM(N26:P26)/315</f>
        <v>4.759245283512509</v>
      </c>
    </row>
    <row r="27" spans="1:17" s="3" customFormat="1" ht="15" customHeight="1">
      <c r="A27" s="16" t="s">
        <v>38</v>
      </c>
      <c r="B27" s="29">
        <v>178</v>
      </c>
      <c r="C27" s="29">
        <v>200</v>
      </c>
      <c r="D27" s="29">
        <v>67</v>
      </c>
      <c r="E27" s="20" t="s">
        <v>24</v>
      </c>
      <c r="F27" s="11"/>
      <c r="G27" s="16" t="s">
        <v>38</v>
      </c>
      <c r="H27" s="29">
        <v>89</v>
      </c>
      <c r="I27" s="29">
        <v>100</v>
      </c>
      <c r="J27" s="29">
        <v>33</v>
      </c>
      <c r="K27" s="27" t="s">
        <v>24</v>
      </c>
      <c r="M27" s="16" t="s">
        <v>38</v>
      </c>
      <c r="N27" s="29">
        <v>75</v>
      </c>
      <c r="O27" s="29">
        <v>75</v>
      </c>
      <c r="P27" s="29">
        <v>25</v>
      </c>
      <c r="Q27" s="26" t="s">
        <v>24</v>
      </c>
    </row>
    <row r="28" spans="1:17" s="3" customFormat="1" ht="15" customHeight="1">
      <c r="A28" s="16" t="s">
        <v>39</v>
      </c>
      <c r="B28" s="5">
        <f>B26*0.02</f>
        <v>30.76898754001386</v>
      </c>
      <c r="C28" s="5">
        <f>C26*0.02</f>
        <v>31.952863368973855</v>
      </c>
      <c r="D28" s="5">
        <f>D26*0.06</f>
        <v>34.509092438491756</v>
      </c>
      <c r="E28" s="20" t="s">
        <v>24</v>
      </c>
      <c r="F28" s="11"/>
      <c r="G28" s="16" t="s">
        <v>39</v>
      </c>
      <c r="H28" s="5">
        <f>H26*0.02</f>
        <v>15.880290691997468</v>
      </c>
      <c r="I28" s="5">
        <f>I26*0.02</f>
        <v>23.63781660863747</v>
      </c>
      <c r="J28" s="5">
        <f>J26*0.06</f>
        <v>21.983169446032843</v>
      </c>
      <c r="K28" s="27" t="s">
        <v>24</v>
      </c>
      <c r="M28" s="16" t="s">
        <v>39</v>
      </c>
      <c r="N28" s="5">
        <f>N26*0.02</f>
        <v>10.636785174204176</v>
      </c>
      <c r="O28" s="5">
        <f>O26*0.02</f>
        <v>14.881892393788176</v>
      </c>
      <c r="P28" s="5">
        <f>P26*0.06</f>
        <v>13.393703154409359</v>
      </c>
      <c r="Q28" s="26" t="s">
        <v>24</v>
      </c>
    </row>
    <row r="29" spans="1:17" s="3" customFormat="1" ht="15" customHeight="1">
      <c r="A29" s="16" t="s">
        <v>40</v>
      </c>
      <c r="B29" s="5">
        <f>B26-(B27+B28)</f>
        <v>1329.6803894606792</v>
      </c>
      <c r="C29" s="5">
        <f>C26-(C27+C28)</f>
        <v>1365.6903050797189</v>
      </c>
      <c r="D29" s="5">
        <f>D26-(D27+D28)</f>
        <v>473.6424482030376</v>
      </c>
      <c r="E29" s="20">
        <f t="shared" si="0"/>
        <v>4.566301358419937</v>
      </c>
      <c r="F29" s="11"/>
      <c r="G29" s="16" t="s">
        <v>40</v>
      </c>
      <c r="H29" s="5">
        <f>H26-(H27+H28)</f>
        <v>689.1342439078759</v>
      </c>
      <c r="I29" s="5">
        <f>I26-(I27+I28)</f>
        <v>1058.253013823236</v>
      </c>
      <c r="J29" s="5">
        <f>J26-(J27+J28)</f>
        <v>311.4029879878479</v>
      </c>
      <c r="K29" s="27">
        <f t="shared" si="1"/>
        <v>3.273116447883879</v>
      </c>
      <c r="M29" s="16" t="s">
        <v>40</v>
      </c>
      <c r="N29" s="5">
        <f>N26-(N27+N28)</f>
        <v>446.2024735360046</v>
      </c>
      <c r="O29" s="5">
        <f>O26-(O27+O28)</f>
        <v>654.2127272956207</v>
      </c>
      <c r="P29" s="5">
        <f>P26-(P27+P28)</f>
        <v>184.83468275241327</v>
      </c>
      <c r="Q29" s="26">
        <f>SUM(N29:P29)/315</f>
        <v>4.0801583605842495</v>
      </c>
    </row>
    <row r="30" spans="1:119" s="13" customFormat="1" ht="15" customHeight="1">
      <c r="A30" s="16" t="s">
        <v>41</v>
      </c>
      <c r="B30" s="15">
        <f>B29+(0.5*D29)</f>
        <v>1566.501613562198</v>
      </c>
      <c r="C30" s="15">
        <f>C29+(0.5*D29)</f>
        <v>1602.5115291812376</v>
      </c>
      <c r="D30" s="15">
        <f>C30*0.36</f>
        <v>576.9041505052455</v>
      </c>
      <c r="E30" s="20">
        <f t="shared" si="0"/>
        <v>5.3975753505024215</v>
      </c>
      <c r="F30" s="14"/>
      <c r="G30" s="16" t="s">
        <v>41</v>
      </c>
      <c r="H30" s="15">
        <f>H29+(0.5*J29)</f>
        <v>844.8357379017998</v>
      </c>
      <c r="I30" s="15">
        <f>I29+(0.5*J29)</f>
        <v>1213.95450781716</v>
      </c>
      <c r="J30" s="15">
        <f>I30*0.31</f>
        <v>376.3258974233196</v>
      </c>
      <c r="K30" s="27">
        <f t="shared" si="1"/>
        <v>3.871408812626835</v>
      </c>
      <c r="L30" s="14"/>
      <c r="M30" s="16" t="s">
        <v>41</v>
      </c>
      <c r="N30" s="15">
        <f>N29+(0.5*P29)</f>
        <v>538.6198149122113</v>
      </c>
      <c r="O30" s="15">
        <f>O29+(0.5*P29)</f>
        <v>746.6300686718273</v>
      </c>
      <c r="P30" s="5">
        <f>O30*0.3</f>
        <v>223.9890206015482</v>
      </c>
      <c r="Q30" s="26">
        <f>SUM(N30:P30)/315</f>
        <v>4.79123461646218</v>
      </c>
      <c r="R30" s="14" t="s">
        <v>24</v>
      </c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</row>
    <row r="31" spans="1:119" s="13" customFormat="1" ht="15" customHeight="1">
      <c r="A31" s="16" t="s">
        <v>42</v>
      </c>
      <c r="B31" s="29">
        <v>178</v>
      </c>
      <c r="C31" s="29">
        <v>200</v>
      </c>
      <c r="D31" s="29">
        <v>67</v>
      </c>
      <c r="E31" s="20" t="s">
        <v>24</v>
      </c>
      <c r="F31" s="14"/>
      <c r="G31" s="16" t="s">
        <v>42</v>
      </c>
      <c r="H31" s="29">
        <v>89</v>
      </c>
      <c r="I31" s="29">
        <v>100</v>
      </c>
      <c r="J31" s="29">
        <v>33</v>
      </c>
      <c r="K31" s="27" t="s">
        <v>24</v>
      </c>
      <c r="L31" s="14"/>
      <c r="M31" s="16" t="s">
        <v>42</v>
      </c>
      <c r="N31" s="29">
        <v>75</v>
      </c>
      <c r="O31" s="29">
        <v>75</v>
      </c>
      <c r="P31" s="29">
        <v>25</v>
      </c>
      <c r="Q31" s="26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</row>
    <row r="32" spans="1:119" s="13" customFormat="1" ht="15" customHeight="1">
      <c r="A32" s="16" t="s">
        <v>43</v>
      </c>
      <c r="B32" s="15">
        <f>B30*0.02</f>
        <v>31.330032271243958</v>
      </c>
      <c r="C32" s="15">
        <f>C30*0.02</f>
        <v>32.05023058362475</v>
      </c>
      <c r="D32" s="15">
        <f>D30*0.06</f>
        <v>34.61424903031473</v>
      </c>
      <c r="E32" s="20" t="s">
        <v>24</v>
      </c>
      <c r="F32" s="14"/>
      <c r="G32" s="16" t="s">
        <v>43</v>
      </c>
      <c r="H32" s="15">
        <f>H30*0.02</f>
        <v>16.896714758035998</v>
      </c>
      <c r="I32" s="15">
        <f>I30*0.02</f>
        <v>24.2790901563432</v>
      </c>
      <c r="J32" s="15">
        <f>J30*0.06</f>
        <v>22.579553845399175</v>
      </c>
      <c r="K32" s="27" t="s">
        <v>24</v>
      </c>
      <c r="L32" s="14"/>
      <c r="M32" s="16" t="s">
        <v>43</v>
      </c>
      <c r="N32" s="15">
        <f>N30*0.02</f>
        <v>10.772396298244226</v>
      </c>
      <c r="O32" s="15">
        <f>O30*0.02</f>
        <v>14.932601373436546</v>
      </c>
      <c r="P32" s="15">
        <f>P30*0.06</f>
        <v>13.439341236092892</v>
      </c>
      <c r="Q32" s="26" t="s">
        <v>24</v>
      </c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</row>
    <row r="33" spans="1:119" s="13" customFormat="1" ht="15" customHeight="1">
      <c r="A33" s="16" t="s">
        <v>44</v>
      </c>
      <c r="B33" s="15">
        <f>B30-(B31+B32)</f>
        <v>1357.171581290954</v>
      </c>
      <c r="C33" s="15">
        <f>C30-(C31+C32)</f>
        <v>1370.4612985976128</v>
      </c>
      <c r="D33" s="5">
        <f>D30-(D31+D32)</f>
        <v>475.2899014749308</v>
      </c>
      <c r="E33" s="20">
        <f t="shared" si="0"/>
        <v>4.615162509169306</v>
      </c>
      <c r="F33" s="14"/>
      <c r="G33" s="16" t="s">
        <v>44</v>
      </c>
      <c r="H33" s="15">
        <f>H30-(H31+H32)</f>
        <v>738.9390231437638</v>
      </c>
      <c r="I33" s="15">
        <f>I30-(I31+I32)</f>
        <v>1089.6754176608167</v>
      </c>
      <c r="J33" s="15">
        <f>J30-(J31+J32)</f>
        <v>320.7463435779204</v>
      </c>
      <c r="K33" s="27">
        <f t="shared" si="1"/>
        <v>3.4171077653139923</v>
      </c>
      <c r="L33" s="14"/>
      <c r="M33" s="16" t="s">
        <v>44</v>
      </c>
      <c r="N33" s="15">
        <f>N30-(N31+N32)</f>
        <v>452.847418613967</v>
      </c>
      <c r="O33" s="15">
        <f>O30-(O31+O32)</f>
        <v>656.6974672983907</v>
      </c>
      <c r="P33" s="15">
        <f>P30-(P31+P32)</f>
        <v>185.5496793654553</v>
      </c>
      <c r="Q33" s="26">
        <f>SUM(N33:P33)/315</f>
        <v>4.111411318342264</v>
      </c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</row>
    <row r="34" spans="1:119" s="13" customFormat="1" ht="15" customHeight="1">
      <c r="A34" s="31" t="s">
        <v>45</v>
      </c>
      <c r="B34" s="30">
        <f>B33+(D33*0.5)</f>
        <v>1594.8165320284195</v>
      </c>
      <c r="C34" s="30">
        <f>C33+(D33*0.5)</f>
        <v>1608.1062493350782</v>
      </c>
      <c r="D34" s="30">
        <f>C34*0.36</f>
        <v>578.9182497606281</v>
      </c>
      <c r="E34" s="20">
        <f t="shared" si="0"/>
        <v>5.449338661562141</v>
      </c>
      <c r="F34" s="14"/>
      <c r="G34" s="31" t="s">
        <v>45</v>
      </c>
      <c r="H34" s="30">
        <f>H33+(J33*0.5)</f>
        <v>899.3121949327241</v>
      </c>
      <c r="I34" s="30">
        <f>I33+(J33*0.5)</f>
        <v>1250.048589449777</v>
      </c>
      <c r="J34" s="30">
        <f>I34*0.31</f>
        <v>387.51506272943084</v>
      </c>
      <c r="K34" s="27">
        <f t="shared" si="1"/>
        <v>4.0331889461238974</v>
      </c>
      <c r="L34" s="14"/>
      <c r="M34" s="31" t="s">
        <v>45</v>
      </c>
      <c r="N34" s="30">
        <f>N33+(P33*0.5)</f>
        <v>545.6222582966947</v>
      </c>
      <c r="O34" s="30">
        <f>O33+(P33*0.5)</f>
        <v>749.4723069811184</v>
      </c>
      <c r="P34" s="30">
        <f>O34*0.3</f>
        <v>224.8416920943355</v>
      </c>
      <c r="Q34" s="26">
        <f>SUM(N34:P34)/315</f>
        <v>4.825194467848091</v>
      </c>
      <c r="R34" s="14" t="s">
        <v>24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</row>
    <row r="35" spans="1:17" s="12" customFormat="1" ht="15" customHeight="1">
      <c r="A35" s="12" t="s">
        <v>8</v>
      </c>
      <c r="B35" s="32" t="s">
        <v>27</v>
      </c>
      <c r="C35" s="32" t="s">
        <v>27</v>
      </c>
      <c r="D35" s="32" t="s">
        <v>27</v>
      </c>
      <c r="E35" s="20">
        <f>SUM(B35:D35)/290.13</f>
        <v>0</v>
      </c>
      <c r="G35" s="12" t="s">
        <v>8</v>
      </c>
      <c r="H35" s="32" t="s">
        <v>27</v>
      </c>
      <c r="I35" s="32" t="s">
        <v>27</v>
      </c>
      <c r="J35" s="33" t="s">
        <v>27</v>
      </c>
      <c r="K35" s="27">
        <f>SUM(H35:J35)/169.75</f>
        <v>0</v>
      </c>
      <c r="M35" s="12" t="s">
        <v>8</v>
      </c>
      <c r="N35" s="32" t="s">
        <v>27</v>
      </c>
      <c r="O35" s="32" t="s">
        <v>27</v>
      </c>
      <c r="P35" s="32" t="s">
        <v>27</v>
      </c>
      <c r="Q35" s="26">
        <f>SUM(N35:P35)/292.36</f>
        <v>0</v>
      </c>
    </row>
    <row r="36" spans="1:17" s="3" customFormat="1" ht="21" customHeight="1">
      <c r="A36" s="12" t="s">
        <v>24</v>
      </c>
      <c r="G36" s="12" t="s">
        <v>24</v>
      </c>
      <c r="K36" s="24"/>
      <c r="M36" s="12" t="s">
        <v>24</v>
      </c>
      <c r="Q36" s="24"/>
    </row>
    <row r="37" spans="1:17" s="3" customFormat="1" ht="21" customHeight="1">
      <c r="A37" s="12" t="s">
        <v>24</v>
      </c>
      <c r="G37" s="12" t="s">
        <v>24</v>
      </c>
      <c r="K37" s="24"/>
      <c r="M37" s="12" t="s">
        <v>24</v>
      </c>
      <c r="Q37" s="24"/>
    </row>
    <row r="38" spans="1:17" s="3" customFormat="1" ht="21" customHeight="1">
      <c r="A38" s="7" t="s">
        <v>46</v>
      </c>
      <c r="B38" s="7" t="s">
        <v>26</v>
      </c>
      <c r="C38" s="7" t="s">
        <v>25</v>
      </c>
      <c r="D38" s="7" t="s">
        <v>4</v>
      </c>
      <c r="K38" s="24"/>
      <c r="Q38" s="24"/>
    </row>
    <row r="39" spans="1:17" s="3" customFormat="1" ht="21" customHeight="1">
      <c r="A39" s="7" t="s">
        <v>5</v>
      </c>
      <c r="B39" s="6">
        <v>1329</v>
      </c>
      <c r="C39" s="6">
        <v>581</v>
      </c>
      <c r="D39" s="6">
        <v>430</v>
      </c>
      <c r="E39"/>
      <c r="G39"/>
      <c r="H39"/>
      <c r="I39"/>
      <c r="K39" s="24"/>
      <c r="Q39" s="24"/>
    </row>
    <row r="40" spans="1:17" s="3" customFormat="1" ht="21" customHeight="1">
      <c r="A40" s="7" t="s">
        <v>6</v>
      </c>
      <c r="B40" s="6">
        <v>1778</v>
      </c>
      <c r="C40" s="6">
        <v>1172</v>
      </c>
      <c r="D40" s="6">
        <v>624</v>
      </c>
      <c r="E40"/>
      <c r="G40"/>
      <c r="H40"/>
      <c r="I40"/>
      <c r="K40" s="24"/>
      <c r="Q40" s="24"/>
    </row>
    <row r="41" spans="1:17" s="3" customFormat="1" ht="21" customHeight="1">
      <c r="A41" s="7" t="s">
        <v>7</v>
      </c>
      <c r="B41" s="6">
        <v>627</v>
      </c>
      <c r="C41" s="6">
        <v>373</v>
      </c>
      <c r="D41" s="6">
        <v>224</v>
      </c>
      <c r="E41"/>
      <c r="G41"/>
      <c r="H41"/>
      <c r="I41"/>
      <c r="K41" s="24"/>
      <c r="Q41" s="24"/>
    </row>
    <row r="42" spans="5:17" s="3" customFormat="1" ht="21" customHeight="1">
      <c r="E42"/>
      <c r="G42"/>
      <c r="H42"/>
      <c r="I42"/>
      <c r="K42" s="24"/>
      <c r="Q42" s="24"/>
    </row>
    <row r="43" spans="1:17" s="3" customFormat="1" ht="21" customHeight="1">
      <c r="A43"/>
      <c r="B43"/>
      <c r="C43"/>
      <c r="D43"/>
      <c r="E43"/>
      <c r="G43"/>
      <c r="H43"/>
      <c r="I43"/>
      <c r="K43" s="24"/>
      <c r="Q43" s="24"/>
    </row>
  </sheetData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scale="64" r:id="rId1"/>
  <colBreaks count="2" manualBreakCount="2">
    <brk id="6" max="31" man="1"/>
    <brk id="12" max="31" man="1"/>
  </colBreaks>
  <ignoredErrors>
    <ignoredError sqref="D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Deer Dommission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Iain</dc:creator>
  <cp:keywords/>
  <dc:description/>
  <cp:lastModifiedBy>Victor</cp:lastModifiedBy>
  <cp:lastPrinted>2010-07-28T15:57:31Z</cp:lastPrinted>
  <dcterms:created xsi:type="dcterms:W3CDTF">2003-04-02T13:01:42Z</dcterms:created>
  <dcterms:modified xsi:type="dcterms:W3CDTF">2016-12-20T20:52:40Z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